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000" windowHeight="9435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E19" i="1" l="1"/>
  <c r="E16" i="1"/>
  <c r="C11" i="1"/>
  <c r="B11" i="1"/>
  <c r="C9" i="1"/>
  <c r="B9" i="1"/>
  <c r="E9" i="1"/>
  <c r="D9" i="1"/>
  <c r="D13" i="1" s="1"/>
  <c r="C8" i="1"/>
  <c r="B8" i="1"/>
  <c r="E8" i="1"/>
  <c r="E26" i="1" s="1"/>
  <c r="D8" i="1"/>
  <c r="D17" i="1" s="1"/>
  <c r="D20" i="1" l="1"/>
  <c r="M22" i="1" s="1"/>
  <c r="E10" i="1"/>
  <c r="E13" i="1" s="1"/>
  <c r="E14" i="1" s="1"/>
  <c r="B12" i="1"/>
  <c r="B13" i="1" s="1"/>
  <c r="C12" i="1"/>
  <c r="C13" i="1" s="1"/>
  <c r="D14" i="1"/>
  <c r="E17" i="1"/>
  <c r="N22" i="1" s="1"/>
  <c r="E20" i="1"/>
  <c r="B20" i="1"/>
  <c r="C20" i="1"/>
  <c r="O22" i="1"/>
  <c r="P22" i="1"/>
  <c r="C17" i="1" l="1"/>
  <c r="C14" i="1"/>
  <c r="N31" i="1" s="1"/>
  <c r="B17" i="1"/>
  <c r="B14" i="1"/>
  <c r="M31" i="1" s="1"/>
  <c r="M27" i="1"/>
  <c r="M26" i="1"/>
  <c r="M25" i="1"/>
  <c r="M24" i="1"/>
  <c r="P27" i="1"/>
  <c r="P26" i="1"/>
  <c r="P25" i="1"/>
  <c r="P24" i="1"/>
  <c r="O27" i="1"/>
  <c r="O26" i="1"/>
  <c r="O25" i="1"/>
  <c r="O24" i="1"/>
  <c r="E31" i="1"/>
  <c r="E33" i="1" s="1"/>
  <c r="N27" i="1"/>
  <c r="N26" i="1"/>
  <c r="N25" i="1"/>
  <c r="N24" i="1"/>
  <c r="N28" i="1" l="1"/>
  <c r="E24" i="1" s="1"/>
  <c r="E29" i="1" s="1"/>
  <c r="E32" i="1" s="1"/>
  <c r="O28" i="1"/>
  <c r="B24" i="1" s="1"/>
  <c r="B32" i="1" s="1"/>
  <c r="P28" i="1"/>
  <c r="C24" i="1" s="1"/>
  <c r="C32" i="1" s="1"/>
  <c r="M28" i="1"/>
  <c r="D24" i="1" s="1"/>
  <c r="D30" i="1" s="1"/>
  <c r="D32" i="1" s="1"/>
  <c r="M33" i="1"/>
  <c r="M32" i="1"/>
  <c r="N33" i="1"/>
  <c r="N32" i="1"/>
  <c r="N34" i="1" l="1"/>
  <c r="C28" i="1" s="1"/>
  <c r="M34" i="1"/>
  <c r="B28" i="1" s="1"/>
  <c r="B30" i="1" s="1"/>
  <c r="B33" i="1"/>
  <c r="C30" i="1" l="1"/>
  <c r="C33" i="1"/>
</calcChain>
</file>

<file path=xl/sharedStrings.xml><?xml version="1.0" encoding="utf-8"?>
<sst xmlns="http://schemas.openxmlformats.org/spreadsheetml/2006/main" count="73" uniqueCount="58">
  <si>
    <t>Chiffres annuels</t>
  </si>
  <si>
    <t>E n t r e p r i s e         i n d i v i d u e l l e</t>
  </si>
  <si>
    <t>S o c i é t é</t>
  </si>
  <si>
    <t>E.I. au réel</t>
  </si>
  <si>
    <t>Micro-entreprise (ex auto-entreprise)</t>
  </si>
  <si>
    <t>E.U.R.L. / S.A.R.L.</t>
  </si>
  <si>
    <t>S.A.S.U. / S.A.S.</t>
  </si>
  <si>
    <t>Chiffre d'affaires prévisionnel :</t>
  </si>
  <si>
    <t>Chiffre d'affaires</t>
  </si>
  <si>
    <t xml:space="preserve"> + honoraires comptables*</t>
  </si>
  <si>
    <t>Dépenses courantes prévues :</t>
  </si>
  <si>
    <t xml:space="preserve"> + rémunération chef entrep.</t>
  </si>
  <si>
    <t>pas de notion de rémunération</t>
  </si>
  <si>
    <t xml:space="preserve"> + charges sociales chef entrep.</t>
  </si>
  <si>
    <t>voir plus bas</t>
  </si>
  <si>
    <t>Total Dépenses réelles</t>
  </si>
  <si>
    <t>Rémunération prévue si société :</t>
  </si>
  <si>
    <t>Bénéfice réel</t>
  </si>
  <si>
    <t>Quel bénéfice l’administration va-t-elle retenir ?</t>
  </si>
  <si>
    <t>Bénéfice réel  =</t>
  </si>
  <si>
    <t>Bénéfice réel de la société =</t>
  </si>
  <si>
    <t>Chiffre d’aff. – dépenses =</t>
  </si>
  <si>
    <t>vente marchandises</t>
  </si>
  <si>
    <t>Calcul des cotisations sociales chef d'entreprise (estimation)</t>
  </si>
  <si>
    <t>45% du revenu (soit 31% du bénéf réel) =</t>
  </si>
  <si>
    <t>45% du montant de la rémunération de gérance =</t>
  </si>
  <si>
    <t>70% du montant du salaire du Président =</t>
  </si>
  <si>
    <t>autre (commerciale, artisanale…) BIC</t>
  </si>
  <si>
    <t>(1103 € minimum en l'absence de revenu)</t>
  </si>
  <si>
    <t>Calcul de l'impôt sur le revenu à payer (hors zones exonérées) selon les tranches 2019</t>
  </si>
  <si>
    <t>Base : bénéf. moins cotisations</t>
  </si>
  <si>
    <t>Base : bénéf. forfaitaire</t>
  </si>
  <si>
    <t>Base : rémunération</t>
  </si>
  <si>
    <t xml:space="preserve">ou, si option pour le versement libératoire (% du CA) = </t>
  </si>
  <si>
    <t>Calcul de l'impôt sur les sociétés (selon les tranches 2019)</t>
  </si>
  <si>
    <t xml:space="preserve">Selon tranches impôt société = </t>
  </si>
  <si>
    <t>TOTAL CHARGES ET IMPOTS A PAYER</t>
  </si>
  <si>
    <t>ou, si option pour le versement libératoire :</t>
  </si>
  <si>
    <t>Ce qu’il reste au chef d’entreprise</t>
  </si>
  <si>
    <t xml:space="preserve"> * estimation</t>
  </si>
  <si>
    <t xml:space="preserve"> ** soumis à prélèvements obligatoires (flat tax 30%)</t>
  </si>
  <si>
    <t>TOTAL</t>
  </si>
  <si>
    <t>libérale (BNC)</t>
  </si>
  <si>
    <t>vente services</t>
  </si>
  <si>
    <t>Tranches IR :</t>
  </si>
  <si>
    <t>EI</t>
  </si>
  <si>
    <t>Auto</t>
  </si>
  <si>
    <t>EURL</t>
  </si>
  <si>
    <t>SASU</t>
  </si>
  <si>
    <t>Début tranche</t>
  </si>
  <si>
    <t>Fin tranche</t>
  </si>
  <si>
    <t>Tranches IS :</t>
  </si>
  <si>
    <t>Simulateur de statut juridique (données estimatives 2019)</t>
  </si>
  <si>
    <r>
      <t xml:space="preserve">Dépenses </t>
    </r>
    <r>
      <rPr>
        <b/>
        <u/>
        <sz val="10"/>
        <color theme="1"/>
        <rFont val="Times New Roman"/>
        <family val="1"/>
      </rPr>
      <t>réelles</t>
    </r>
  </si>
  <si>
    <r>
      <t xml:space="preserve">Bénéfice </t>
    </r>
    <r>
      <rPr>
        <b/>
        <u/>
        <sz val="10"/>
        <color theme="1"/>
        <rFont val="Times New Roman"/>
        <family val="1"/>
      </rPr>
      <t>forfaitaire</t>
    </r>
    <r>
      <rPr>
        <sz val="10"/>
        <color theme="1"/>
        <rFont val="Times New Roman"/>
        <family val="1"/>
      </rPr>
      <t xml:space="preserve"> =</t>
    </r>
  </si>
  <si>
    <r>
      <t xml:space="preserve">Insérez vos données </t>
    </r>
    <r>
      <rPr>
        <b/>
        <i/>
        <u/>
        <sz val="10"/>
        <color rgb="FFFF0000"/>
        <rFont val="Times New Roman"/>
        <family val="1"/>
      </rPr>
      <t>annuelles</t>
    </r>
    <r>
      <rPr>
        <b/>
        <i/>
        <sz val="10"/>
        <color rgb="FFFF0000"/>
        <rFont val="Times New Roman"/>
        <family val="1"/>
      </rPr>
      <t xml:space="preserve"> :</t>
    </r>
  </si>
  <si>
    <r>
      <t xml:space="preserve">Activité principale </t>
    </r>
    <r>
      <rPr>
        <b/>
        <sz val="10"/>
        <color rgb="FFFF0000"/>
        <rFont val="Times New Roman"/>
        <family val="1"/>
      </rPr>
      <t>(obligatoire)</t>
    </r>
    <r>
      <rPr>
        <b/>
        <sz val="10"/>
        <color theme="1"/>
        <rFont val="Times New Roman"/>
        <family val="1"/>
      </rPr>
      <t xml:space="preserve"> :</t>
    </r>
  </si>
  <si>
    <r>
      <t xml:space="preserve">Nature de votre activité principale </t>
    </r>
    <r>
      <rPr>
        <b/>
        <sz val="10"/>
        <color rgb="FFFF0000"/>
        <rFont val="Times New Roman"/>
        <family val="1"/>
      </rPr>
      <t>(obligatoire)</t>
    </r>
    <r>
      <rPr>
        <b/>
        <sz val="10"/>
        <color theme="1"/>
        <rFont val="Times New Roman"/>
        <family val="1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</si>
</sst>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\ &quot;€&quot;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8" tint="0.59999389629810485"/>
      <name val="Times New Roman"/>
      <family val="1"/>
    </font>
    <font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i/>
      <sz val="10"/>
      <color rgb="FFFF0000"/>
      <name val="Times New Roman"/>
      <family val="1"/>
    </font>
    <font>
      <b/>
      <sz val="10"/>
      <name val="Times New Roman"/>
      <family val="1"/>
    </font>
    <font>
      <b/>
      <i/>
      <sz val="10"/>
      <color rgb="FFFF0000"/>
      <name val="Times New Roman"/>
      <family val="1"/>
    </font>
    <font>
      <b/>
      <i/>
      <u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u/>
      <sz val="10"/>
      <color theme="10"/>
      <name val="Times New Roman"/>
      <family val="1"/>
    </font>
    <font>
      <b/>
      <u/>
      <sz val="10"/>
      <color theme="6" tint="-0.499984740745262"/>
      <name val="Times New Roman"/>
      <family val="1"/>
    </font>
    <font>
      <b/>
      <i/>
      <sz val="10"/>
      <color theme="8" tint="0.5999938962981048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/>
    <xf numFmtId="0" fontId="4" fillId="0" borderId="0" xfId="0" applyFont="1" applyFill="1"/>
    <xf numFmtId="0" fontId="6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/>
    <xf numFmtId="9" fontId="4" fillId="0" borderId="0" xfId="0" applyNumberFormat="1" applyFont="1"/>
    <xf numFmtId="10" fontId="4" fillId="0" borderId="0" xfId="0" applyNumberFormat="1" applyFont="1"/>
    <xf numFmtId="3" fontId="5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3" fontId="13" fillId="0" borderId="9" xfId="0" applyNumberFormat="1" applyFont="1" applyBorder="1" applyAlignment="1">
      <alignment horizontal="center" vertical="center" wrapText="1"/>
    </xf>
    <xf numFmtId="6" fontId="6" fillId="0" borderId="6" xfId="0" applyNumberFormat="1" applyFont="1" applyBorder="1" applyAlignment="1">
      <alignment horizontal="center" vertical="center" wrapText="1"/>
    </xf>
    <xf numFmtId="6" fontId="2" fillId="0" borderId="6" xfId="0" applyNumberFormat="1" applyFont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0" applyFont="1"/>
    <xf numFmtId="0" fontId="4" fillId="0" borderId="13" xfId="0" applyFont="1" applyBorder="1" applyAlignment="1"/>
    <xf numFmtId="0" fontId="2" fillId="0" borderId="12" xfId="0" applyFont="1" applyBorder="1" applyAlignment="1">
      <alignment horizontal="right"/>
    </xf>
    <xf numFmtId="0" fontId="6" fillId="0" borderId="0" xfId="0" applyFont="1"/>
    <xf numFmtId="0" fontId="4" fillId="0" borderId="14" xfId="0" applyFont="1" applyBorder="1" applyAlignment="1"/>
    <xf numFmtId="3" fontId="6" fillId="0" borderId="12" xfId="0" applyNumberFormat="1" applyFont="1" applyBorder="1"/>
    <xf numFmtId="9" fontId="6" fillId="0" borderId="12" xfId="0" applyNumberFormat="1" applyFont="1" applyBorder="1" applyAlignment="1">
      <alignment horizontal="center"/>
    </xf>
    <xf numFmtId="0" fontId="4" fillId="0" borderId="12" xfId="0" applyFont="1" applyBorder="1"/>
    <xf numFmtId="3" fontId="11" fillId="0" borderId="6" xfId="0" applyNumberFormat="1" applyFont="1" applyBorder="1" applyAlignment="1">
      <alignment horizontal="center" vertical="top" wrapText="1"/>
    </xf>
    <xf numFmtId="6" fontId="13" fillId="0" borderId="6" xfId="0" applyNumberFormat="1" applyFont="1" applyBorder="1" applyAlignment="1">
      <alignment horizontal="center" vertical="center" wrapText="1"/>
    </xf>
    <xf numFmtId="0" fontId="15" fillId="0" borderId="0" xfId="1" applyFont="1" applyAlignment="1">
      <alignment horizontal="left" vertical="top" wrapText="1"/>
    </xf>
    <xf numFmtId="0" fontId="6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6" fontId="13" fillId="0" borderId="9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6" fontId="5" fillId="0" borderId="9" xfId="0" applyNumberFormat="1" applyFont="1" applyBorder="1" applyAlignment="1">
      <alignment horizontal="center" vertical="center" wrapText="1"/>
    </xf>
    <xf numFmtId="6" fontId="5" fillId="0" borderId="1" xfId="0" applyNumberFormat="1" applyFont="1" applyBorder="1" applyAlignment="1">
      <alignment horizontal="center" vertical="center" wrapText="1"/>
    </xf>
    <xf numFmtId="6" fontId="5" fillId="0" borderId="1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6" fontId="5" fillId="0" borderId="7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536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87841</xdr:colOff>
      <xdr:row>0</xdr:row>
      <xdr:rowOff>0</xdr:rowOff>
    </xdr:from>
    <xdr:to>
      <xdr:col>7</xdr:col>
      <xdr:colOff>87841</xdr:colOff>
      <xdr:row>4</xdr:row>
      <xdr:rowOff>177909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2466" y="0"/>
          <a:ext cx="0" cy="1142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="60" zoomScaleNormal="60" workbookViewId="0">
      <selection activeCell="E16" sqref="E16"/>
    </sheetView>
  </sheetViews>
  <sheetFormatPr baseColWidth="10" defaultColWidth="0" defaultRowHeight="0" customHeight="1" zeroHeight="1" x14ac:dyDescent="0.2"/>
  <cols>
    <col min="1" max="4" width="30.140625" style="22" customWidth="1"/>
    <col min="5" max="5" width="35" style="22" customWidth="1"/>
    <col min="6" max="6" width="2.28515625" style="22" customWidth="1"/>
    <col min="7" max="7" width="2" style="22" customWidth="1"/>
    <col min="8" max="8" width="56.140625" style="22" customWidth="1"/>
    <col min="9" max="9" width="40.7109375" style="22" customWidth="1"/>
    <col min="10" max="10" width="13.5703125" style="22" hidden="1" customWidth="1"/>
    <col min="11" max="11" width="12.42578125" style="22" hidden="1" customWidth="1"/>
    <col min="12" max="16384" width="11.42578125" style="22" hidden="1"/>
  </cols>
  <sheetData>
    <row r="1" spans="1:15" ht="12.75" x14ac:dyDescent="0.2">
      <c r="A1" s="21" t="s">
        <v>52</v>
      </c>
    </row>
    <row r="2" spans="1:15" ht="15" customHeight="1" thickBot="1" x14ac:dyDescent="0.25"/>
    <row r="3" spans="1:15" ht="15.75" customHeight="1" x14ac:dyDescent="0.2">
      <c r="A3" s="23" t="s">
        <v>0</v>
      </c>
      <c r="B3" s="24" t="s">
        <v>2</v>
      </c>
      <c r="C3" s="25"/>
      <c r="D3" s="24" t="s">
        <v>1</v>
      </c>
      <c r="E3" s="25"/>
    </row>
    <row r="4" spans="1:15" ht="18.75" customHeight="1" thickBot="1" x14ac:dyDescent="0.25">
      <c r="A4" s="26"/>
      <c r="B4" s="27"/>
      <c r="C4" s="28"/>
      <c r="D4" s="27"/>
      <c r="E4" s="28"/>
    </row>
    <row r="5" spans="1:15" ht="15" customHeight="1" x14ac:dyDescent="0.25">
      <c r="A5" s="26"/>
      <c r="B5" s="9" t="s">
        <v>5</v>
      </c>
      <c r="C5" s="9" t="s">
        <v>6</v>
      </c>
      <c r="D5" s="9" t="s">
        <v>3</v>
      </c>
      <c r="E5" s="9" t="s">
        <v>4</v>
      </c>
      <c r="H5" s="29" t="s">
        <v>55</v>
      </c>
      <c r="I5" s="29"/>
    </row>
    <row r="6" spans="1:15" ht="15.75" customHeight="1" x14ac:dyDescent="0.2">
      <c r="A6" s="26"/>
      <c r="B6" s="11"/>
      <c r="C6" s="11"/>
      <c r="D6" s="11"/>
      <c r="E6" s="11"/>
      <c r="I6" s="30"/>
    </row>
    <row r="7" spans="1:15" ht="40.5" customHeight="1" thickBot="1" x14ac:dyDescent="0.25">
      <c r="A7" s="31"/>
      <c r="B7" s="14"/>
      <c r="C7" s="14"/>
      <c r="D7" s="14"/>
      <c r="E7" s="14"/>
      <c r="H7" s="32" t="s">
        <v>7</v>
      </c>
      <c r="I7" s="33"/>
    </row>
    <row r="8" spans="1:15" ht="25.5" customHeight="1" thickBot="1" x14ac:dyDescent="0.25">
      <c r="A8" s="1" t="s">
        <v>8</v>
      </c>
      <c r="B8" s="34">
        <f>$H$8</f>
        <v>90000</v>
      </c>
      <c r="C8" s="34">
        <f>$H$8</f>
        <v>90000</v>
      </c>
      <c r="D8" s="34">
        <f>$H$8</f>
        <v>90000</v>
      </c>
      <c r="E8" s="34">
        <f>$H$8</f>
        <v>90000</v>
      </c>
      <c r="H8" s="35">
        <v>90000</v>
      </c>
      <c r="I8" s="36"/>
      <c r="L8" s="37"/>
    </row>
    <row r="9" spans="1:15" ht="12.75" x14ac:dyDescent="0.2">
      <c r="A9" s="2" t="s">
        <v>53</v>
      </c>
      <c r="B9" s="3">
        <f>$H$11</f>
        <v>45000</v>
      </c>
      <c r="C9" s="3">
        <f>$H$11</f>
        <v>45000</v>
      </c>
      <c r="D9" s="3">
        <f>$H$11</f>
        <v>45000</v>
      </c>
      <c r="E9" s="3">
        <f>$H$11</f>
        <v>45000</v>
      </c>
      <c r="H9" s="32"/>
      <c r="I9" s="33"/>
    </row>
    <row r="10" spans="1:15" ht="51.75" customHeight="1" thickBot="1" x14ac:dyDescent="0.25">
      <c r="A10" s="4" t="s">
        <v>9</v>
      </c>
      <c r="B10" s="5">
        <v>2400</v>
      </c>
      <c r="C10" s="5">
        <v>2600</v>
      </c>
      <c r="D10" s="5">
        <v>2000</v>
      </c>
      <c r="E10" s="5">
        <f>IF($H$17="vente marchandises",IF(E8&gt;82200,2000,"pas de comptable"),IF(E8&gt;32800,2000,"pas de comptable"))</f>
        <v>2000</v>
      </c>
      <c r="H10" s="32" t="s">
        <v>10</v>
      </c>
      <c r="I10" s="33"/>
    </row>
    <row r="11" spans="1:15" ht="38.25" customHeight="1" thickBot="1" x14ac:dyDescent="0.25">
      <c r="A11" s="4" t="s">
        <v>11</v>
      </c>
      <c r="B11" s="6">
        <f>$H$14</f>
        <v>20000</v>
      </c>
      <c r="C11" s="6">
        <f>$H$14</f>
        <v>20000</v>
      </c>
      <c r="D11" s="5" t="s">
        <v>12</v>
      </c>
      <c r="E11" s="5" t="s">
        <v>12</v>
      </c>
      <c r="H11" s="35">
        <v>45000</v>
      </c>
      <c r="I11" s="36"/>
      <c r="L11" s="22" t="s">
        <v>42</v>
      </c>
    </row>
    <row r="12" spans="1:15" ht="39" customHeight="1" x14ac:dyDescent="0.2">
      <c r="A12" s="4" t="s">
        <v>13</v>
      </c>
      <c r="B12" s="5">
        <f>B11*45%</f>
        <v>9000</v>
      </c>
      <c r="C12" s="5">
        <f>C11*70%</f>
        <v>14000</v>
      </c>
      <c r="D12" s="7" t="s">
        <v>14</v>
      </c>
      <c r="E12" s="7" t="s">
        <v>14</v>
      </c>
      <c r="H12" s="32"/>
      <c r="I12" s="33"/>
      <c r="L12" s="22" t="s">
        <v>27</v>
      </c>
    </row>
    <row r="13" spans="1:15" ht="13.5" thickBot="1" x14ac:dyDescent="0.25">
      <c r="A13" s="1" t="s">
        <v>15</v>
      </c>
      <c r="B13" s="34">
        <f>SUM(B9:B12)</f>
        <v>76400</v>
      </c>
      <c r="C13" s="34">
        <f>SUM(C9:C12)</f>
        <v>81600</v>
      </c>
      <c r="D13" s="34">
        <f>SUM(D9:D12)</f>
        <v>47000</v>
      </c>
      <c r="E13" s="34">
        <f>SUM(E9:E12)</f>
        <v>47000</v>
      </c>
      <c r="H13" s="32" t="s">
        <v>16</v>
      </c>
      <c r="I13" s="33"/>
    </row>
    <row r="14" spans="1:15" ht="13.5" thickBot="1" x14ac:dyDescent="0.25">
      <c r="A14" s="8" t="s">
        <v>17</v>
      </c>
      <c r="B14" s="34">
        <f>B8-B13</f>
        <v>13600</v>
      </c>
      <c r="C14" s="34">
        <f>C8-C13</f>
        <v>8400</v>
      </c>
      <c r="D14" s="34">
        <f>D8-D13</f>
        <v>43000</v>
      </c>
      <c r="E14" s="34">
        <f>E8-E13</f>
        <v>43000</v>
      </c>
      <c r="H14" s="35">
        <v>20000</v>
      </c>
      <c r="I14" s="36"/>
    </row>
    <row r="15" spans="1:15" ht="39" customHeight="1" x14ac:dyDescent="0.2">
      <c r="A15" s="9" t="s">
        <v>18</v>
      </c>
      <c r="B15" s="10" t="s">
        <v>20</v>
      </c>
      <c r="C15" s="10" t="s">
        <v>20</v>
      </c>
      <c r="D15" s="10" t="s">
        <v>19</v>
      </c>
      <c r="E15" s="10" t="s">
        <v>54</v>
      </c>
      <c r="H15" s="32"/>
      <c r="I15" s="33"/>
    </row>
    <row r="16" spans="1:15" ht="13.5" thickBot="1" x14ac:dyDescent="0.25">
      <c r="A16" s="11"/>
      <c r="B16" s="10" t="s">
        <v>21</v>
      </c>
      <c r="C16" s="10" t="s">
        <v>21</v>
      </c>
      <c r="D16" s="10" t="s">
        <v>21</v>
      </c>
      <c r="E16" s="12" t="str">
        <f>IF(H20="libérale (BNC)","66%",IF($H$17="vente marchandises","29%","50%")&amp;" du chiffre d’affaires")</f>
        <v>29% du chiffre d’affaires</v>
      </c>
      <c r="H16" s="32" t="s">
        <v>56</v>
      </c>
      <c r="I16" s="33"/>
      <c r="L16" s="22" t="s">
        <v>22</v>
      </c>
      <c r="M16" s="38">
        <v>0.28999999999999998</v>
      </c>
      <c r="N16" s="39">
        <v>0.13100000000000001</v>
      </c>
      <c r="O16" s="38">
        <v>0.01</v>
      </c>
    </row>
    <row r="17" spans="1:16" ht="13.5" thickBot="1" x14ac:dyDescent="0.25">
      <c r="A17" s="11"/>
      <c r="B17" s="40">
        <f>B8-B13</f>
        <v>13600</v>
      </c>
      <c r="C17" s="40">
        <f>C8-C13</f>
        <v>8400</v>
      </c>
      <c r="D17" s="40">
        <f>D8-D13</f>
        <v>43000</v>
      </c>
      <c r="E17" s="40">
        <f>E8*IF(H20="libérale (BNC)",66%,IF($H$17="vente marchandises",29%,50%))</f>
        <v>26100</v>
      </c>
      <c r="H17" s="35" t="s">
        <v>22</v>
      </c>
      <c r="I17" s="36"/>
      <c r="L17" s="22" t="s">
        <v>43</v>
      </c>
      <c r="M17" s="38">
        <v>0.5</v>
      </c>
      <c r="N17" s="39">
        <v>0.22700000000000001</v>
      </c>
      <c r="O17" s="39">
        <v>1.7000000000000001E-2</v>
      </c>
    </row>
    <row r="18" spans="1:16" ht="13.5" thickBot="1" x14ac:dyDescent="0.25">
      <c r="A18" s="41"/>
      <c r="B18" s="13"/>
      <c r="C18" s="42"/>
      <c r="D18" s="42"/>
      <c r="E18" s="13"/>
      <c r="I18" s="30"/>
    </row>
    <row r="19" spans="1:16" ht="26.25" thickBot="1" x14ac:dyDescent="0.25">
      <c r="A19" s="11" t="s">
        <v>23</v>
      </c>
      <c r="B19" s="10" t="s">
        <v>25</v>
      </c>
      <c r="C19" s="10" t="s">
        <v>26</v>
      </c>
      <c r="D19" s="10" t="s">
        <v>24</v>
      </c>
      <c r="E19" s="10" t="str">
        <f>IF($H$17="vente marchandises","12,8%","22%")&amp;" du chiffre d’affaires ="</f>
        <v>12,8% du chiffre d’affaires =</v>
      </c>
      <c r="H19" s="32" t="s">
        <v>57</v>
      </c>
      <c r="I19" s="30"/>
    </row>
    <row r="20" spans="1:16" ht="15" customHeight="1" thickBot="1" x14ac:dyDescent="0.25">
      <c r="A20" s="11"/>
      <c r="B20" s="43">
        <f>IF(45%*B11&lt;1103,1103,45%*B11)</f>
        <v>9000</v>
      </c>
      <c r="C20" s="43">
        <f>70%*C11</f>
        <v>14000</v>
      </c>
      <c r="D20" s="43">
        <f>IF(31%*D17&lt;1103,1103,(31%*D17))</f>
        <v>13330</v>
      </c>
      <c r="E20" s="43">
        <f>IF($H$17="vente marchandises",12.8%,22%)*E8</f>
        <v>11520</v>
      </c>
      <c r="H20" s="35" t="s">
        <v>27</v>
      </c>
      <c r="I20" s="30"/>
    </row>
    <row r="21" spans="1:16" ht="28.5" customHeight="1" thickBot="1" x14ac:dyDescent="0.25">
      <c r="A21" s="14"/>
      <c r="B21" s="44" t="s">
        <v>28</v>
      </c>
      <c r="C21" s="42"/>
      <c r="D21" s="44" t="s">
        <v>28</v>
      </c>
      <c r="E21" s="45"/>
      <c r="H21" s="46"/>
      <c r="J21" s="47" t="s">
        <v>44</v>
      </c>
      <c r="L21" s="48"/>
      <c r="M21" s="49" t="s">
        <v>45</v>
      </c>
      <c r="N21" s="49" t="s">
        <v>46</v>
      </c>
      <c r="O21" s="49" t="s">
        <v>47</v>
      </c>
      <c r="P21" s="49" t="s">
        <v>48</v>
      </c>
    </row>
    <row r="22" spans="1:16" ht="15" customHeight="1" x14ac:dyDescent="0.2">
      <c r="A22" s="4"/>
      <c r="B22" s="10"/>
      <c r="C22" s="10"/>
      <c r="D22" s="10"/>
      <c r="E22" s="10"/>
      <c r="H22" s="46"/>
      <c r="J22" s="50" t="s">
        <v>49</v>
      </c>
      <c r="K22" s="50" t="s">
        <v>50</v>
      </c>
      <c r="L22" s="51"/>
      <c r="M22" s="52">
        <f>D17-D20</f>
        <v>29670</v>
      </c>
      <c r="N22" s="52">
        <f>E17</f>
        <v>26100</v>
      </c>
      <c r="O22" s="52">
        <f>B11</f>
        <v>20000</v>
      </c>
      <c r="P22" s="52">
        <f>C11</f>
        <v>20000</v>
      </c>
    </row>
    <row r="23" spans="1:16" ht="15" customHeight="1" x14ac:dyDescent="0.2">
      <c r="A23" s="11" t="s">
        <v>29</v>
      </c>
      <c r="B23" s="15" t="s">
        <v>32</v>
      </c>
      <c r="C23" s="15" t="s">
        <v>32</v>
      </c>
      <c r="D23" s="15" t="s">
        <v>30</v>
      </c>
      <c r="E23" s="15" t="s">
        <v>31</v>
      </c>
      <c r="H23" s="46"/>
      <c r="J23" s="22">
        <v>0</v>
      </c>
      <c r="K23" s="22">
        <v>9964</v>
      </c>
      <c r="L23" s="53">
        <v>0</v>
      </c>
      <c r="M23" s="54">
        <v>0</v>
      </c>
      <c r="N23" s="54">
        <v>0</v>
      </c>
      <c r="O23" s="54">
        <v>0</v>
      </c>
      <c r="P23" s="54">
        <v>0</v>
      </c>
    </row>
    <row r="24" spans="1:16" ht="15" customHeight="1" x14ac:dyDescent="0.2">
      <c r="A24" s="11"/>
      <c r="B24" s="43">
        <f>O28</f>
        <v>1405.0400000000002</v>
      </c>
      <c r="C24" s="43">
        <f>P28</f>
        <v>1405.0400000000002</v>
      </c>
      <c r="D24" s="43">
        <f>M28</f>
        <v>3103</v>
      </c>
      <c r="E24" s="43">
        <f>N28</f>
        <v>2259.0400000000004</v>
      </c>
      <c r="H24" s="46"/>
      <c r="J24" s="22">
        <v>9964</v>
      </c>
      <c r="K24" s="22">
        <v>27519</v>
      </c>
      <c r="L24" s="53">
        <v>0.14000000000000001</v>
      </c>
      <c r="M24" s="54">
        <f t="shared" ref="M24:P27" si="0">IF(M$22&gt;$K24,($K24-$J24)*$L24,IF(AND(M$22&gt;$J24,M$22&lt;$K24),(M$22-$J24)*$L24,0))</f>
        <v>2457.7000000000003</v>
      </c>
      <c r="N24" s="54">
        <f t="shared" si="0"/>
        <v>2259.0400000000004</v>
      </c>
      <c r="O24" s="54">
        <f t="shared" si="0"/>
        <v>1405.0400000000002</v>
      </c>
      <c r="P24" s="54">
        <f t="shared" si="0"/>
        <v>1405.0400000000002</v>
      </c>
    </row>
    <row r="25" spans="1:16" ht="25.5" x14ac:dyDescent="0.2">
      <c r="A25" s="11"/>
      <c r="B25" s="12"/>
      <c r="C25" s="12"/>
      <c r="D25" s="12"/>
      <c r="E25" s="15" t="s">
        <v>33</v>
      </c>
      <c r="H25" s="46"/>
      <c r="J25" s="22">
        <v>27519</v>
      </c>
      <c r="K25" s="22">
        <v>73779</v>
      </c>
      <c r="L25" s="53">
        <v>0.3</v>
      </c>
      <c r="M25" s="54">
        <f t="shared" si="0"/>
        <v>645.29999999999995</v>
      </c>
      <c r="N25" s="54">
        <f t="shared" si="0"/>
        <v>0</v>
      </c>
      <c r="O25" s="54">
        <f t="shared" si="0"/>
        <v>0</v>
      </c>
      <c r="P25" s="54">
        <f t="shared" si="0"/>
        <v>0</v>
      </c>
    </row>
    <row r="26" spans="1:16" ht="15.75" customHeight="1" thickBot="1" x14ac:dyDescent="0.25">
      <c r="A26" s="41"/>
      <c r="B26" s="42"/>
      <c r="C26" s="42"/>
      <c r="D26" s="13"/>
      <c r="E26" s="55">
        <f>E8*IF(H20="libérale (BNC)",2.2%,IF($H$17="vente marchandises",1%,1.7%))</f>
        <v>900</v>
      </c>
      <c r="H26" s="46"/>
      <c r="J26" s="22">
        <v>73779</v>
      </c>
      <c r="K26" s="22">
        <v>156244</v>
      </c>
      <c r="L26" s="53">
        <v>0.41</v>
      </c>
      <c r="M26" s="54">
        <f>IF(M$22&gt;$K26,($K26-$J26)*$L26,IF(AND(M$22&gt;$J26,M$22&lt;$K26),(M$22-$J26)*$L26,0))</f>
        <v>0</v>
      </c>
      <c r="N26" s="54">
        <f t="shared" si="0"/>
        <v>0</v>
      </c>
      <c r="O26" s="54">
        <f t="shared" si="0"/>
        <v>0</v>
      </c>
      <c r="P26" s="54">
        <f t="shared" si="0"/>
        <v>0</v>
      </c>
    </row>
    <row r="27" spans="1:16" ht="21.75" customHeight="1" x14ac:dyDescent="0.2">
      <c r="A27" s="9" t="s">
        <v>34</v>
      </c>
      <c r="B27" s="10" t="s">
        <v>35</v>
      </c>
      <c r="C27" s="10" t="s">
        <v>35</v>
      </c>
      <c r="D27" s="16"/>
      <c r="E27" s="16"/>
      <c r="H27" s="46"/>
      <c r="J27" s="22">
        <v>156244</v>
      </c>
      <c r="K27" s="22">
        <v>1000000</v>
      </c>
      <c r="L27" s="53">
        <v>0.45</v>
      </c>
      <c r="M27" s="54">
        <f>IF(M$22&gt;$K27,($K27-$J27)*$L27,IF(AND(M$22&gt;$J27,M$22&lt;$K27),(M$22-$J27)*$L27,0))</f>
        <v>0</v>
      </c>
      <c r="N27" s="54">
        <f t="shared" si="0"/>
        <v>0</v>
      </c>
      <c r="O27" s="54">
        <f t="shared" si="0"/>
        <v>0</v>
      </c>
      <c r="P27" s="54">
        <f t="shared" si="0"/>
        <v>0</v>
      </c>
    </row>
    <row r="28" spans="1:16" ht="15.75" customHeight="1" thickBot="1" x14ac:dyDescent="0.25">
      <c r="A28" s="14"/>
      <c r="B28" s="56">
        <f>M34</f>
        <v>2040</v>
      </c>
      <c r="C28" s="56">
        <f>N34</f>
        <v>1260</v>
      </c>
      <c r="D28" s="17"/>
      <c r="E28" s="17"/>
      <c r="H28" s="57"/>
      <c r="L28" s="58" t="s">
        <v>41</v>
      </c>
      <c r="M28" s="54">
        <f>+SUM(M23:M27)</f>
        <v>3103</v>
      </c>
      <c r="N28" s="54">
        <f>+SUM(N23:N27)</f>
        <v>2259.0400000000004</v>
      </c>
      <c r="O28" s="54">
        <f>+SUM(O23:O27)</f>
        <v>1405.0400000000002</v>
      </c>
      <c r="P28" s="54">
        <f>+SUM(P23:P27)</f>
        <v>1405.0400000000002</v>
      </c>
    </row>
    <row r="29" spans="1:16" ht="12.75" x14ac:dyDescent="0.2">
      <c r="A29" s="59" t="s">
        <v>36</v>
      </c>
      <c r="B29" s="18"/>
      <c r="C29" s="18"/>
      <c r="D29" s="18"/>
      <c r="E29" s="60">
        <f>E20+E24</f>
        <v>13779.04</v>
      </c>
      <c r="H29" s="57"/>
    </row>
    <row r="30" spans="1:16" ht="25.5" x14ac:dyDescent="0.2">
      <c r="A30" s="61"/>
      <c r="B30" s="60">
        <f>B20+B24+B28</f>
        <v>12445.04</v>
      </c>
      <c r="C30" s="60">
        <f>C20+C24+C28</f>
        <v>16665.04</v>
      </c>
      <c r="D30" s="60">
        <f>D24+D20</f>
        <v>16433</v>
      </c>
      <c r="E30" s="19" t="s">
        <v>37</v>
      </c>
      <c r="H30" s="57"/>
      <c r="J30" s="47" t="s">
        <v>51</v>
      </c>
      <c r="L30" s="48"/>
      <c r="M30" s="49" t="s">
        <v>47</v>
      </c>
      <c r="N30" s="49" t="s">
        <v>48</v>
      </c>
    </row>
    <row r="31" spans="1:16" ht="14.25" thickBot="1" x14ac:dyDescent="0.25">
      <c r="A31" s="62"/>
      <c r="B31" s="20"/>
      <c r="C31" s="20"/>
      <c r="D31" s="20"/>
      <c r="E31" s="63">
        <f>E20+E26</f>
        <v>12420</v>
      </c>
      <c r="J31" s="50" t="s">
        <v>49</v>
      </c>
      <c r="K31" s="50" t="s">
        <v>50</v>
      </c>
      <c r="L31" s="51"/>
      <c r="M31" s="52">
        <f>B14</f>
        <v>13600</v>
      </c>
      <c r="N31" s="52">
        <f>C14</f>
        <v>8400</v>
      </c>
    </row>
    <row r="32" spans="1:16" ht="12.75" x14ac:dyDescent="0.2">
      <c r="A32" s="64" t="s">
        <v>38</v>
      </c>
      <c r="B32" s="65">
        <f>+B11-B24</f>
        <v>18594.96</v>
      </c>
      <c r="C32" s="65">
        <f>+C11-C24</f>
        <v>18594.96</v>
      </c>
      <c r="D32" s="66">
        <f>D17-D30</f>
        <v>26567</v>
      </c>
      <c r="E32" s="67">
        <f>E14-E29</f>
        <v>29220.959999999999</v>
      </c>
      <c r="J32" s="22">
        <v>0</v>
      </c>
      <c r="K32" s="22">
        <v>38120</v>
      </c>
      <c r="L32" s="53">
        <v>0.15</v>
      </c>
      <c r="M32" s="54">
        <f>IF((IF(M$31&gt;$K32,$K32*$L32,M$31*$L$32))&lt;0,0,IF(M$31&gt;$K32,$K32*$L32,M$31*$L$32))</f>
        <v>2040</v>
      </c>
      <c r="N32" s="54">
        <f>IF((IF(N$31&gt;$K32,$K32*$L32,N$31*$L$32))&lt;0,0,IF(N$31&gt;$K32,$K32*$L32,N$31*$L$32))</f>
        <v>1260</v>
      </c>
    </row>
    <row r="33" spans="1:14" ht="14.25" thickBot="1" x14ac:dyDescent="0.25">
      <c r="A33" s="68"/>
      <c r="B33" s="69" t="str">
        <f>"+ "&amp;IF((B17-B28)&lt;0,0,(B17-B28))&amp;" € de bénéfice distribuable**"</f>
        <v>+ 11560 € de bénéfice distribuable**</v>
      </c>
      <c r="C33" s="69" t="str">
        <f>"+ "&amp;IF((C17-C28)&lt;0,0,(C17-C28))&amp;" € de bénéfice distribuable**"</f>
        <v>+ 7140 € de bénéfice distribuable**</v>
      </c>
      <c r="D33" s="70"/>
      <c r="E33" s="71" t="str">
        <f>"ou "&amp;(E14-E31)&amp;" € (si versement libératoire)"</f>
        <v>ou 30580 € (si versement libératoire)</v>
      </c>
      <c r="J33" s="22">
        <v>38120</v>
      </c>
      <c r="K33" s="22">
        <v>1000000</v>
      </c>
      <c r="L33" s="53">
        <v>0.28000000000000003</v>
      </c>
      <c r="M33" s="54">
        <f>IF(M$31&gt;$K32,(M$31-$J$33)*$L33,0)</f>
        <v>0</v>
      </c>
      <c r="N33" s="54">
        <f>IF(N$31&gt;$K32,(N$31-$J$33)*$L33,0)</f>
        <v>0</v>
      </c>
    </row>
    <row r="34" spans="1:14" ht="12.75" x14ac:dyDescent="0.2">
      <c r="L34" s="58" t="s">
        <v>41</v>
      </c>
      <c r="M34" s="54">
        <f>SUM(M32:M33)</f>
        <v>2040</v>
      </c>
      <c r="N34" s="54">
        <f>SUM(N32:N33)</f>
        <v>1260</v>
      </c>
    </row>
    <row r="35" spans="1:14" ht="12.75" x14ac:dyDescent="0.2">
      <c r="A35" s="50" t="s">
        <v>39</v>
      </c>
      <c r="D35" s="50" t="s">
        <v>40</v>
      </c>
    </row>
    <row r="36" spans="1:14" ht="12.75" x14ac:dyDescent="0.2"/>
  </sheetData>
  <mergeCells count="17">
    <mergeCell ref="A15:A17"/>
    <mergeCell ref="A19:A21"/>
    <mergeCell ref="A23:A25"/>
    <mergeCell ref="A27:A28"/>
    <mergeCell ref="C5:C7"/>
    <mergeCell ref="A3:A7"/>
    <mergeCell ref="D3:E4"/>
    <mergeCell ref="B3:C4"/>
    <mergeCell ref="D5:D7"/>
    <mergeCell ref="E5:E7"/>
    <mergeCell ref="B5:B7"/>
    <mergeCell ref="D27:D28"/>
    <mergeCell ref="E27:E28"/>
    <mergeCell ref="H28:H30"/>
    <mergeCell ref="A29:A31"/>
    <mergeCell ref="A32:A33"/>
    <mergeCell ref="D32:D33"/>
  </mergeCells>
  <conditionalFormatting sqref="E7:E8">
    <cfRule type="cellIs" dxfId="0" priority="2" operator="greaterThan">
      <formula>170000</formula>
    </cfRule>
  </conditionalFormatting>
  <dataValidations count="2">
    <dataValidation type="list" allowBlank="1" showInputMessage="1" showErrorMessage="1" sqref="H20">
      <formula1>$L$11:$L$12</formula1>
    </dataValidation>
    <dataValidation type="list" allowBlank="1" showInputMessage="1" showErrorMessage="1" sqref="H17:I17">
      <formula1>$L$16:$L$17</formula1>
    </dataValidation>
  </dataValidation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2019-04-11T11:11:07Z</dcterms:modified>
</cp:coreProperties>
</file>